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<sst xmlns="http://schemas.openxmlformats.org/spreadsheetml/2006/main" count="1159" uniqueCount="198">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</sst>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selection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575745.78</v>
      </c>
      <c r="F8" s="191">
        <f>F9+F15+F18+F19+F20+F37+F17</f>
        <v>547461.76</v>
      </c>
      <c r="G8" s="191">
        <f aca="true" t="shared" si="0" ref="G8:G37">F8-E8</f>
        <v>-28284.02000000002</v>
      </c>
      <c r="H8" s="192">
        <f>F8/E8*100</f>
        <v>95.08741166978245</v>
      </c>
      <c r="I8" s="193">
        <f>F8-D8</f>
        <v>-293588.24</v>
      </c>
      <c r="J8" s="193">
        <f>F8/D8*100</f>
        <v>65.0926532310802</v>
      </c>
      <c r="K8" s="191">
        <f>429512.12</f>
        <v>429512.12</v>
      </c>
      <c r="L8" s="191">
        <f aca="true" t="shared" si="1" ref="L8:L51">F8-K8</f>
        <v>117949.64000000001</v>
      </c>
      <c r="M8" s="250">
        <f aca="true" t="shared" si="2" ref="M8:M28">F8/K8</f>
        <v>1.274613065633631</v>
      </c>
      <c r="N8" s="191">
        <f>N9+N15+N18+N19+N20+N17</f>
        <v>76794.5</v>
      </c>
      <c r="O8" s="191">
        <f>O9+O15+O18+O19+O20+O17</f>
        <v>3654.799999999976</v>
      </c>
      <c r="P8" s="191">
        <f>O8-N8</f>
        <v>-73139.70000000003</v>
      </c>
      <c r="Q8" s="191">
        <f>O8/N8*100</f>
        <v>4.759194994433164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v>301184.27</v>
      </c>
      <c r="F9" s="196">
        <v>297347.86</v>
      </c>
      <c r="G9" s="190">
        <f t="shared" si="0"/>
        <v>-3836.4100000000326</v>
      </c>
      <c r="H9" s="197">
        <f>F9/E9*100</f>
        <v>98.72622497848243</v>
      </c>
      <c r="I9" s="198">
        <f>F9-D9</f>
        <v>-162352.14</v>
      </c>
      <c r="J9" s="198">
        <f>F9/D9*100</f>
        <v>64.68302371111594</v>
      </c>
      <c r="K9" s="199">
        <v>233711.01</v>
      </c>
      <c r="L9" s="199">
        <f t="shared" si="1"/>
        <v>63636.84999999998</v>
      </c>
      <c r="M9" s="251">
        <f t="shared" si="2"/>
        <v>1.272288626881549</v>
      </c>
      <c r="N9" s="197">
        <f>E9-липень!E9</f>
        <v>37925</v>
      </c>
      <c r="O9" s="200">
        <f>F9-липень!F9</f>
        <v>1938.149999999965</v>
      </c>
      <c r="P9" s="201">
        <f>O9-N9</f>
        <v>-35986.850000000035</v>
      </c>
      <c r="Q9" s="198">
        <f>O9/N9*100</f>
        <v>5.110481212920146</v>
      </c>
      <c r="R9" s="106"/>
      <c r="S9" s="107"/>
      <c r="T9" s="186">
        <f>D9-E9</f>
        <v>158515.72999999998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267115.84</v>
      </c>
      <c r="F10" s="171">
        <v>260945.64</v>
      </c>
      <c r="G10" s="109">
        <f t="shared" si="0"/>
        <v>-6170.200000000012</v>
      </c>
      <c r="H10" s="32">
        <f aca="true" t="shared" si="3" ref="H10:H36">F10/E10*100</f>
        <v>97.69006585307707</v>
      </c>
      <c r="I10" s="110">
        <f aca="true" t="shared" si="4" ref="I10:I37">F10-D10</f>
        <v>-150494.36</v>
      </c>
      <c r="J10" s="110">
        <f aca="true" t="shared" si="5" ref="J10:J36">F10/D10*100</f>
        <v>63.42252576317324</v>
      </c>
      <c r="K10" s="112">
        <v>206618.21</v>
      </c>
      <c r="L10" s="112">
        <f t="shared" si="1"/>
        <v>54327.43000000002</v>
      </c>
      <c r="M10" s="252">
        <f t="shared" si="2"/>
        <v>1.2629363113735232</v>
      </c>
      <c r="N10" s="111">
        <f>E10-липень!E10</f>
        <v>33100.00000000003</v>
      </c>
      <c r="O10" s="179">
        <f>F10-липень!F10</f>
        <v>1839.7400000000198</v>
      </c>
      <c r="P10" s="112">
        <f aca="true" t="shared" si="6" ref="P10:P37">O10-N10</f>
        <v>-31260.26000000001</v>
      </c>
      <c r="Q10" s="198">
        <f aca="true" t="shared" si="7" ref="Q10:Q16">O10/N10*100</f>
        <v>5.558126888217577</v>
      </c>
      <c r="R10" s="42"/>
      <c r="S10" s="100"/>
      <c r="T10" s="186">
        <f aca="true" t="shared" si="8" ref="T10:T73">D10-E10</f>
        <v>144324.15999999997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21588.51</v>
      </c>
      <c r="G11" s="109">
        <f t="shared" si="0"/>
        <v>3873.5699999999997</v>
      </c>
      <c r="H11" s="32">
        <f t="shared" si="3"/>
        <v>121.86611978364026</v>
      </c>
      <c r="I11" s="110">
        <f t="shared" si="4"/>
        <v>-1411.4900000000016</v>
      </c>
      <c r="J11" s="110">
        <f t="shared" si="5"/>
        <v>93.86308695652174</v>
      </c>
      <c r="K11" s="112">
        <v>12408.56</v>
      </c>
      <c r="L11" s="112">
        <f t="shared" si="1"/>
        <v>9179.949999999999</v>
      </c>
      <c r="M11" s="252">
        <f t="shared" si="2"/>
        <v>1.7398078423281993</v>
      </c>
      <c r="N11" s="111">
        <f>E11-липень!E11</f>
        <v>1799.9999999999982</v>
      </c>
      <c r="O11" s="179">
        <f>F11-липень!F11</f>
        <v>2.4799999999995634</v>
      </c>
      <c r="P11" s="112">
        <f t="shared" si="6"/>
        <v>-1797.5199999999986</v>
      </c>
      <c r="Q11" s="198">
        <f t="shared" si="7"/>
        <v>0.13777777777775366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5876.39</v>
      </c>
      <c r="G12" s="109">
        <f t="shared" si="0"/>
        <v>2275.78</v>
      </c>
      <c r="H12" s="32">
        <f t="shared" si="3"/>
        <v>163.20540130700076</v>
      </c>
      <c r="I12" s="110">
        <f t="shared" si="4"/>
        <v>-623.6099999999997</v>
      </c>
      <c r="J12" s="110">
        <f t="shared" si="5"/>
        <v>90.406</v>
      </c>
      <c r="K12" s="112">
        <v>3331.36</v>
      </c>
      <c r="L12" s="112">
        <f t="shared" si="1"/>
        <v>2545.03</v>
      </c>
      <c r="M12" s="252">
        <f t="shared" si="2"/>
        <v>1.763961265068921</v>
      </c>
      <c r="N12" s="111">
        <f>E12-липень!E12</f>
        <v>330</v>
      </c>
      <c r="O12" s="179">
        <f>F12-липень!F12</f>
        <v>38.95000000000073</v>
      </c>
      <c r="P12" s="112">
        <f t="shared" si="6"/>
        <v>-291.0499999999993</v>
      </c>
      <c r="Q12" s="198">
        <f t="shared" si="7"/>
        <v>11.803030303030523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6486.44</v>
      </c>
      <c r="G13" s="109">
        <f t="shared" si="0"/>
        <v>-1878.4000000000005</v>
      </c>
      <c r="H13" s="32">
        <f t="shared" si="3"/>
        <v>77.54410126194881</v>
      </c>
      <c r="I13" s="110">
        <f t="shared" si="4"/>
        <v>-5913.56</v>
      </c>
      <c r="J13" s="110">
        <f t="shared" si="5"/>
        <v>52.31</v>
      </c>
      <c r="K13" s="112">
        <v>4976.73</v>
      </c>
      <c r="L13" s="112">
        <f t="shared" si="1"/>
        <v>1509.71</v>
      </c>
      <c r="M13" s="252">
        <f t="shared" si="2"/>
        <v>1.3033538086253424</v>
      </c>
      <c r="N13" s="111">
        <f>E13-липень!E13</f>
        <v>1600</v>
      </c>
      <c r="O13" s="179">
        <f>F13-липень!F13</f>
        <v>56.97999999999956</v>
      </c>
      <c r="P13" s="112">
        <f t="shared" si="6"/>
        <v>-1543.0200000000004</v>
      </c>
      <c r="Q13" s="198">
        <f t="shared" si="7"/>
        <v>3.5612499999999727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4388.04</v>
      </c>
      <c r="F14" s="171">
        <v>2450.88</v>
      </c>
      <c r="G14" s="109">
        <f t="shared" si="0"/>
        <v>-1937.1599999999999</v>
      </c>
      <c r="H14" s="32">
        <f t="shared" si="3"/>
        <v>55.85363852654033</v>
      </c>
      <c r="I14" s="110">
        <f t="shared" si="4"/>
        <v>-3909.12</v>
      </c>
      <c r="J14" s="110">
        <f t="shared" si="5"/>
        <v>38.53584905660378</v>
      </c>
      <c r="K14" s="112">
        <v>6376.14</v>
      </c>
      <c r="L14" s="112">
        <f t="shared" si="1"/>
        <v>-3925.26</v>
      </c>
      <c r="M14" s="252">
        <f t="shared" si="2"/>
        <v>0.3843830279761737</v>
      </c>
      <c r="N14" s="111">
        <f>E14-липень!E14</f>
        <v>1095</v>
      </c>
      <c r="O14" s="179">
        <f>F14-липень!F14</f>
        <v>0</v>
      </c>
      <c r="P14" s="112">
        <f t="shared" si="6"/>
        <v>-1095</v>
      </c>
      <c r="Q14" s="198">
        <f t="shared" si="7"/>
        <v>0</v>
      </c>
      <c r="R14" s="42"/>
      <c r="S14" s="100"/>
      <c r="T14" s="186">
        <f t="shared" si="8"/>
        <v>1971.96</v>
      </c>
      <c r="U14" s="273">
        <v>2880</v>
      </c>
      <c r="V14" s="186">
        <f>U14-T14</f>
        <v>908.04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319.55</v>
      </c>
      <c r="G15" s="190">
        <f t="shared" si="0"/>
        <v>-45.44999999999999</v>
      </c>
      <c r="H15" s="197">
        <f>F15/E15*100</f>
        <v>87.54794520547946</v>
      </c>
      <c r="I15" s="198">
        <f t="shared" si="4"/>
        <v>-180.45</v>
      </c>
      <c r="J15" s="198">
        <f t="shared" si="5"/>
        <v>63.91</v>
      </c>
      <c r="K15" s="201">
        <v>-734.58</v>
      </c>
      <c r="L15" s="201">
        <f t="shared" si="1"/>
        <v>1054.13</v>
      </c>
      <c r="M15" s="253">
        <f t="shared" si="2"/>
        <v>-0.4350104821802935</v>
      </c>
      <c r="N15" s="197">
        <f>E15-липень!E15</f>
        <v>115</v>
      </c>
      <c r="O15" s="200">
        <f>F15-липень!F15</f>
        <v>10.310000000000002</v>
      </c>
      <c r="P15" s="201">
        <f t="shared" si="6"/>
        <v>-104.69</v>
      </c>
      <c r="Q15" s="198">
        <f t="shared" si="7"/>
        <v>8.96521739130435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0</v>
      </c>
      <c r="O18" s="200">
        <f>F18-липень!F18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54303.97</v>
      </c>
      <c r="G19" s="190">
        <f t="shared" si="0"/>
        <v>-14956.429999999993</v>
      </c>
      <c r="H19" s="197">
        <f t="shared" si="3"/>
        <v>78.40551021940388</v>
      </c>
      <c r="I19" s="198">
        <f t="shared" si="4"/>
        <v>-55596.03</v>
      </c>
      <c r="J19" s="198">
        <f t="shared" si="5"/>
        <v>49.412165605095545</v>
      </c>
      <c r="K19" s="209">
        <v>43877.66</v>
      </c>
      <c r="L19" s="201">
        <f t="shared" si="1"/>
        <v>10426.309999999998</v>
      </c>
      <c r="M19" s="259">
        <f t="shared" si="2"/>
        <v>1.237622288882315</v>
      </c>
      <c r="N19" s="197">
        <f>E19-липень!E19</f>
        <v>10499.999999999993</v>
      </c>
      <c r="O19" s="200">
        <f>F19-липень!F19</f>
        <v>12.770000000004075</v>
      </c>
      <c r="P19" s="201">
        <f t="shared" si="6"/>
        <v>-10487.229999999989</v>
      </c>
      <c r="Q19" s="198">
        <f aca="true" t="shared" si="9" ref="Q19:Q24">O19/N19*100</f>
        <v>0.12161904761908651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204926.11</v>
      </c>
      <c r="F20" s="272">
        <f>F21+F29+F30+F31+F32</f>
        <v>195384.41</v>
      </c>
      <c r="G20" s="190">
        <f t="shared" si="0"/>
        <v>-9541.699999999983</v>
      </c>
      <c r="H20" s="197">
        <f t="shared" si="3"/>
        <v>95.34383393116671</v>
      </c>
      <c r="I20" s="198">
        <f t="shared" si="4"/>
        <v>-75555.59</v>
      </c>
      <c r="J20" s="198">
        <f t="shared" si="5"/>
        <v>72.11353436185134</v>
      </c>
      <c r="K20" s="198">
        <v>147068.17</v>
      </c>
      <c r="L20" s="201">
        <f t="shared" si="1"/>
        <v>48316.23999999999</v>
      </c>
      <c r="M20" s="254">
        <f t="shared" si="2"/>
        <v>1.3285295519757945</v>
      </c>
      <c r="N20" s="197">
        <f>N21+N30+N31+N32</f>
        <v>28254.5</v>
      </c>
      <c r="O20" s="200">
        <f>F20-липень!F20</f>
        <v>1693.570000000007</v>
      </c>
      <c r="P20" s="201">
        <f t="shared" si="6"/>
        <v>-26560.929999999993</v>
      </c>
      <c r="Q20" s="198">
        <f t="shared" si="9"/>
        <v>5.993983259303852</v>
      </c>
      <c r="R20" s="113"/>
      <c r="S20" s="114"/>
      <c r="T20" s="186">
        <f t="shared" si="8"/>
        <v>66013.89000000001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112278.95999999999</v>
      </c>
      <c r="F21" s="211">
        <f>F22+F25+F26</f>
        <v>106337.95000000001</v>
      </c>
      <c r="G21" s="190">
        <f t="shared" si="0"/>
        <v>-5941.00999999998</v>
      </c>
      <c r="H21" s="197">
        <f t="shared" si="3"/>
        <v>94.7087058875501</v>
      </c>
      <c r="I21" s="198">
        <f t="shared" si="4"/>
        <v>-55062.04999999999</v>
      </c>
      <c r="J21" s="198">
        <f t="shared" si="5"/>
        <v>65.88472738537796</v>
      </c>
      <c r="K21" s="198">
        <v>79798.88</v>
      </c>
      <c r="L21" s="201">
        <f t="shared" si="1"/>
        <v>26539.070000000007</v>
      </c>
      <c r="M21" s="254">
        <f t="shared" si="2"/>
        <v>1.3325744672105675</v>
      </c>
      <c r="N21" s="197">
        <f>N22+N25+N26</f>
        <v>15790.3</v>
      </c>
      <c r="O21" s="200">
        <f>F21-червень!F21</f>
        <v>20343.560000000012</v>
      </c>
      <c r="P21" s="201">
        <f t="shared" si="6"/>
        <v>4553.260000000013</v>
      </c>
      <c r="Q21" s="198">
        <f t="shared" si="9"/>
        <v>128.83580425957717</v>
      </c>
      <c r="R21" s="113"/>
      <c r="S21" s="114"/>
      <c r="T21" s="186">
        <f t="shared" si="8"/>
        <v>49121.04000000001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13945.29</v>
      </c>
      <c r="G22" s="212">
        <f t="shared" si="0"/>
        <v>-631.6099999999988</v>
      </c>
      <c r="H22" s="214">
        <f t="shared" si="3"/>
        <v>95.66704854941723</v>
      </c>
      <c r="I22" s="215">
        <f t="shared" si="4"/>
        <v>-4554.709999999999</v>
      </c>
      <c r="J22" s="215">
        <f t="shared" si="5"/>
        <v>75.37994594594595</v>
      </c>
      <c r="K22" s="216">
        <v>8673.74</v>
      </c>
      <c r="L22" s="206">
        <f t="shared" si="1"/>
        <v>5271.550000000001</v>
      </c>
      <c r="M22" s="262">
        <f t="shared" si="2"/>
        <v>1.6077597437783473</v>
      </c>
      <c r="N22" s="214">
        <f>E22-липень!E22</f>
        <v>1985.2999999999993</v>
      </c>
      <c r="O22" s="217">
        <f>F22-липень!F22</f>
        <v>75.15000000000146</v>
      </c>
      <c r="P22" s="218">
        <f t="shared" si="6"/>
        <v>-1910.1499999999978</v>
      </c>
      <c r="Q22" s="215">
        <f t="shared" si="9"/>
        <v>3.7853221175641707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546.54</v>
      </c>
      <c r="G23" s="241">
        <f t="shared" si="0"/>
        <v>-327.86</v>
      </c>
      <c r="H23" s="242">
        <f t="shared" si="3"/>
        <v>62.504574565416284</v>
      </c>
      <c r="I23" s="243">
        <f t="shared" si="4"/>
        <v>-1453.46</v>
      </c>
      <c r="J23" s="243">
        <f t="shared" si="5"/>
        <v>27.326999999999995</v>
      </c>
      <c r="K23" s="261">
        <v>526.9</v>
      </c>
      <c r="L23" s="261">
        <f t="shared" si="1"/>
        <v>19.639999999999986</v>
      </c>
      <c r="M23" s="263">
        <f t="shared" si="2"/>
        <v>1.0372746251660656</v>
      </c>
      <c r="N23" s="239">
        <f>E23-липень!E23</f>
        <v>185.29999999999995</v>
      </c>
      <c r="O23" s="239">
        <f>F23-липень!F23</f>
        <v>8.709999999999923</v>
      </c>
      <c r="P23" s="240">
        <f t="shared" si="6"/>
        <v>-176.59000000000003</v>
      </c>
      <c r="Q23" s="240">
        <f t="shared" si="9"/>
        <v>4.700485698866662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13398.75</v>
      </c>
      <c r="G24" s="241">
        <f t="shared" si="0"/>
        <v>-303.75</v>
      </c>
      <c r="H24" s="242">
        <f t="shared" si="3"/>
        <v>97.78325123152709</v>
      </c>
      <c r="I24" s="243">
        <f t="shared" si="4"/>
        <v>-3101.25</v>
      </c>
      <c r="J24" s="243">
        <f t="shared" si="5"/>
        <v>81.20454545454545</v>
      </c>
      <c r="K24" s="261">
        <v>8146.84</v>
      </c>
      <c r="L24" s="261">
        <f t="shared" si="1"/>
        <v>5251.91</v>
      </c>
      <c r="M24" s="263">
        <f t="shared" si="2"/>
        <v>1.6446560875136862</v>
      </c>
      <c r="N24" s="239">
        <f>E24-липень!E24</f>
        <v>1800</v>
      </c>
      <c r="O24" s="239">
        <f>F24-липень!F24</f>
        <v>66.44000000000051</v>
      </c>
      <c r="P24" s="240">
        <f t="shared" si="6"/>
        <v>-1733.5599999999995</v>
      </c>
      <c r="Q24" s="240">
        <f t="shared" si="9"/>
        <v>3.691111111111139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2693.14</v>
      </c>
      <c r="F25" s="213">
        <v>485.67</v>
      </c>
      <c r="G25" s="212">
        <f t="shared" si="0"/>
        <v>-2207.47</v>
      </c>
      <c r="H25" s="214">
        <f t="shared" si="3"/>
        <v>18.033596471033814</v>
      </c>
      <c r="I25" s="215">
        <f t="shared" si="4"/>
        <v>-2314.33</v>
      </c>
      <c r="J25" s="215">
        <f t="shared" si="5"/>
        <v>17.345357142857143</v>
      </c>
      <c r="K25" s="215">
        <v>3116.95</v>
      </c>
      <c r="L25" s="215">
        <f t="shared" si="1"/>
        <v>-2631.2799999999997</v>
      </c>
      <c r="M25" s="257">
        <f t="shared" si="2"/>
        <v>0.155815781453023</v>
      </c>
      <c r="N25" s="214">
        <f>E25-липень!E25</f>
        <v>2000</v>
      </c>
      <c r="O25" s="217">
        <f>F25-липень!F25</f>
        <v>6.8700000000000045</v>
      </c>
      <c r="P25" s="218">
        <f t="shared" si="6"/>
        <v>-1993.13</v>
      </c>
      <c r="Q25" s="215"/>
      <c r="R25" s="113"/>
      <c r="S25" s="114"/>
      <c r="T25" s="186">
        <f t="shared" si="8"/>
        <v>106.86000000000013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v>95008.92</v>
      </c>
      <c r="F26" s="213">
        <v>91906.99</v>
      </c>
      <c r="G26" s="212">
        <f t="shared" si="0"/>
        <v>-3101.929999999993</v>
      </c>
      <c r="H26" s="214">
        <f t="shared" si="3"/>
        <v>96.73511708163824</v>
      </c>
      <c r="I26" s="215">
        <f t="shared" si="4"/>
        <v>-48193.009999999995</v>
      </c>
      <c r="J26" s="215">
        <f t="shared" si="5"/>
        <v>65.60099214846538</v>
      </c>
      <c r="K26" s="216">
        <v>68008.19</v>
      </c>
      <c r="L26" s="216">
        <f t="shared" si="1"/>
        <v>23898.800000000003</v>
      </c>
      <c r="M26" s="256">
        <f t="shared" si="2"/>
        <v>1.3514106168683508</v>
      </c>
      <c r="N26" s="214">
        <f>E26-липень!E26</f>
        <v>11805</v>
      </c>
      <c r="O26" s="217">
        <f>F26-липень!F26</f>
        <v>299.20000000001164</v>
      </c>
      <c r="P26" s="218">
        <f t="shared" si="6"/>
        <v>-11505.799999999988</v>
      </c>
      <c r="Q26" s="215">
        <f>O26/N26*100</f>
        <v>2.5345192714952276</v>
      </c>
      <c r="R26" s="113"/>
      <c r="S26" s="114"/>
      <c r="T26" s="186">
        <f t="shared" si="8"/>
        <v>45091.08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v>27074.75</v>
      </c>
      <c r="F27" s="203">
        <v>29389.54</v>
      </c>
      <c r="G27" s="241">
        <f t="shared" si="0"/>
        <v>2314.790000000001</v>
      </c>
      <c r="H27" s="242">
        <f t="shared" si="3"/>
        <v>108.5496264970129</v>
      </c>
      <c r="I27" s="243">
        <f t="shared" si="4"/>
        <v>-8667.46</v>
      </c>
      <c r="J27" s="243">
        <f t="shared" si="5"/>
        <v>77.22505715111544</v>
      </c>
      <c r="K27" s="261">
        <v>18442.07</v>
      </c>
      <c r="L27" s="261">
        <f t="shared" si="1"/>
        <v>10947.470000000001</v>
      </c>
      <c r="M27" s="263">
        <f t="shared" si="2"/>
        <v>1.5936139489764436</v>
      </c>
      <c r="N27" s="239">
        <f>E27-липень!E27</f>
        <v>3230</v>
      </c>
      <c r="O27" s="239">
        <f>F27-липень!F27</f>
        <v>103.78000000000247</v>
      </c>
      <c r="P27" s="240">
        <f t="shared" si="6"/>
        <v>-3126.2199999999975</v>
      </c>
      <c r="Q27" s="240">
        <f>O27/N27*100</f>
        <v>3.2130030959753086</v>
      </c>
      <c r="R27" s="113"/>
      <c r="S27" s="114"/>
      <c r="T27" s="186">
        <f t="shared" si="8"/>
        <v>10982.25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67934.17</v>
      </c>
      <c r="F28" s="203">
        <v>62517.45</v>
      </c>
      <c r="G28" s="241">
        <f t="shared" si="0"/>
        <v>-5416.720000000001</v>
      </c>
      <c r="H28" s="242">
        <f t="shared" si="3"/>
        <v>92.02651625831301</v>
      </c>
      <c r="I28" s="243">
        <f t="shared" si="4"/>
        <v>-39525.55</v>
      </c>
      <c r="J28" s="243">
        <f t="shared" si="5"/>
        <v>61.26578991209588</v>
      </c>
      <c r="K28" s="261">
        <v>49566.12</v>
      </c>
      <c r="L28" s="261">
        <f t="shared" si="1"/>
        <v>12951.329999999994</v>
      </c>
      <c r="M28" s="263">
        <f t="shared" si="2"/>
        <v>1.261294004856543</v>
      </c>
      <c r="N28" s="239">
        <f>E28-липень!E28</f>
        <v>8575</v>
      </c>
      <c r="O28" s="239">
        <f>F28-липень!F28</f>
        <v>195.41999999999825</v>
      </c>
      <c r="P28" s="240">
        <f t="shared" si="6"/>
        <v>-8379.580000000002</v>
      </c>
      <c r="Q28" s="240">
        <f>O28/N28*100</f>
        <v>2.278950437317764</v>
      </c>
      <c r="R28" s="113"/>
      <c r="S28" s="114"/>
      <c r="T28" s="186">
        <f t="shared" si="8"/>
        <v>34108.83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65.62</v>
      </c>
      <c r="G30" s="190">
        <f t="shared" si="0"/>
        <v>17.310000000000002</v>
      </c>
      <c r="H30" s="197">
        <f t="shared" si="3"/>
        <v>135.8310908714552</v>
      </c>
      <c r="I30" s="198">
        <f t="shared" si="4"/>
        <v>-11.379999999999995</v>
      </c>
      <c r="J30" s="198">
        <f t="shared" si="5"/>
        <v>85.22077922077924</v>
      </c>
      <c r="K30" s="198">
        <v>48.85</v>
      </c>
      <c r="L30" s="198">
        <f t="shared" si="1"/>
        <v>16.770000000000003</v>
      </c>
      <c r="M30" s="255">
        <f>F30/K30</f>
        <v>1.343295803480041</v>
      </c>
      <c r="N30" s="197">
        <f>E30-липень!E30</f>
        <v>7.400000000000006</v>
      </c>
      <c r="O30" s="200">
        <f>F30-липень!F30</f>
        <v>0</v>
      </c>
      <c r="P30" s="201">
        <f t="shared" si="6"/>
        <v>-7.400000000000006</v>
      </c>
      <c r="Q30" s="198">
        <f>O30/N30*100</f>
        <v>0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-614.57</v>
      </c>
      <c r="L31" s="198">
        <f t="shared" si="1"/>
        <v>475.84000000000003</v>
      </c>
      <c r="M31" s="255">
        <f>F31/K31</f>
        <v>0.2257350667946694</v>
      </c>
      <c r="N31" s="197">
        <f>E31-липень!E31</f>
        <v>0</v>
      </c>
      <c r="O31" s="200">
        <f>F31-липень!F31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v>92598.84</v>
      </c>
      <c r="F32" s="203">
        <v>89119.42</v>
      </c>
      <c r="G32" s="202">
        <f t="shared" si="0"/>
        <v>-3479.4199999999983</v>
      </c>
      <c r="H32" s="204">
        <f t="shared" si="3"/>
        <v>96.24247992739434</v>
      </c>
      <c r="I32" s="205">
        <f t="shared" si="4"/>
        <v>-20343.58</v>
      </c>
      <c r="J32" s="205">
        <f t="shared" si="5"/>
        <v>81.4151083014352</v>
      </c>
      <c r="K32" s="219">
        <v>67835.01</v>
      </c>
      <c r="L32" s="219">
        <f t="shared" si="1"/>
        <v>21284.410000000003</v>
      </c>
      <c r="M32" s="258">
        <f>F32/L32</f>
        <v>4.187074952982018</v>
      </c>
      <c r="N32" s="197">
        <f>E32-липень!E32</f>
        <v>12456.800000000003</v>
      </c>
      <c r="O32" s="200">
        <f>F32-липень!F32</f>
        <v>1312.3499999999913</v>
      </c>
      <c r="P32" s="207">
        <f t="shared" si="6"/>
        <v>-11144.450000000012</v>
      </c>
      <c r="Q32" s="205">
        <f>O32/N32*100</f>
        <v>10.535209684670148</v>
      </c>
      <c r="R32" s="113"/>
      <c r="S32" s="114"/>
      <c r="T32" s="186">
        <f t="shared" si="8"/>
        <v>16864.160000000003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23845.97</v>
      </c>
      <c r="F34" s="171">
        <v>22227.98</v>
      </c>
      <c r="G34" s="109">
        <f t="shared" si="0"/>
        <v>-1617.9900000000016</v>
      </c>
      <c r="H34" s="111">
        <f t="shared" si="3"/>
        <v>93.21482833367651</v>
      </c>
      <c r="I34" s="110">
        <f t="shared" si="4"/>
        <v>-5372.02</v>
      </c>
      <c r="J34" s="110">
        <f t="shared" si="5"/>
        <v>80.53615942028985</v>
      </c>
      <c r="K34" s="142">
        <v>16931.33</v>
      </c>
      <c r="L34" s="142">
        <f t="shared" si="1"/>
        <v>5296.649999999998</v>
      </c>
      <c r="M34" s="264">
        <f t="shared" si="10"/>
        <v>1.3128313014984645</v>
      </c>
      <c r="N34" s="111">
        <f>E34-липень!E34</f>
        <v>4150</v>
      </c>
      <c r="O34" s="179">
        <f>F34-липень!F34</f>
        <v>473.47000000000116</v>
      </c>
      <c r="P34" s="112">
        <f t="shared" si="6"/>
        <v>-3676.529999999999</v>
      </c>
      <c r="Q34" s="110">
        <f>O34/N34*100</f>
        <v>11.40891566265063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68736.08</v>
      </c>
      <c r="F35" s="171">
        <v>66870.7</v>
      </c>
      <c r="G35" s="109">
        <f t="shared" si="0"/>
        <v>-1865.3800000000047</v>
      </c>
      <c r="H35" s="111">
        <f t="shared" si="3"/>
        <v>97.28617052354454</v>
      </c>
      <c r="I35" s="110">
        <f t="shared" si="4"/>
        <v>-14941.300000000003</v>
      </c>
      <c r="J35" s="110">
        <f t="shared" si="5"/>
        <v>81.73703124236053</v>
      </c>
      <c r="K35" s="142">
        <v>50888.07</v>
      </c>
      <c r="L35" s="142">
        <f t="shared" si="1"/>
        <v>15982.629999999997</v>
      </c>
      <c r="M35" s="264">
        <f t="shared" si="10"/>
        <v>1.3140742024604195</v>
      </c>
      <c r="N35" s="111">
        <f>E35-липень!E35</f>
        <v>8300</v>
      </c>
      <c r="O35" s="179">
        <f>F35-липень!F35</f>
        <v>838.8799999999901</v>
      </c>
      <c r="P35" s="112">
        <f t="shared" si="6"/>
        <v>-7461.12000000001</v>
      </c>
      <c r="Q35" s="110">
        <f>O35/N35*100</f>
        <v>10.10698795180711</v>
      </c>
      <c r="R35" s="113"/>
      <c r="S35" s="114"/>
      <c r="T35" s="186">
        <f t="shared" si="8"/>
        <v>13075.919999999998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28429.009999999995</v>
      </c>
      <c r="F38" s="191">
        <f>F39+F40+F41+F42+F43+F45+F47+F48+F49+F50+F51+F56+F57+F61+F44</f>
        <v>40860.47</v>
      </c>
      <c r="G38" s="191">
        <f>G39+G40+G41+G42+G43+G45+G47+G48+G49+G50+G51+G56+G57+G61</f>
        <v>12403.980000000005</v>
      </c>
      <c r="H38" s="192">
        <f>F38/E38*100</f>
        <v>143.72807916983393</v>
      </c>
      <c r="I38" s="193">
        <f>F38-D38</f>
        <v>-1959.5299999999988</v>
      </c>
      <c r="J38" s="193">
        <f>F38/D38*100</f>
        <v>95.42379729098552</v>
      </c>
      <c r="K38" s="191">
        <v>21607.34</v>
      </c>
      <c r="L38" s="191">
        <f t="shared" si="1"/>
        <v>19253.13</v>
      </c>
      <c r="M38" s="250">
        <f t="shared" si="10"/>
        <v>1.8910458205406127</v>
      </c>
      <c r="N38" s="191">
        <f>N39+N40+N41+N42+N43+N45+N47+N48+N49+N50+N51+N56+N57+N61</f>
        <v>3433.979999999999</v>
      </c>
      <c r="O38" s="191">
        <f>O39+O40+O41+O42+O43+O45+O47+O48+O49+O50+O51+O56+O57+O61+O44</f>
        <v>4074.190000000001</v>
      </c>
      <c r="P38" s="191">
        <f>P39+P40+P41+P42+P43+P45+P47+P48+P49+P50+P51+P56+P57+P61</f>
        <v>640.2100000000019</v>
      </c>
      <c r="Q38" s="191">
        <f>O38/N38*100</f>
        <v>118.64338173198452</v>
      </c>
      <c r="R38" s="15" t="e">
        <f>#N/A</f>
        <v>#N/A</v>
      </c>
      <c r="S38" s="15" t="e">
        <f>#N/A</f>
        <v>#N/A</v>
      </c>
      <c r="T38" s="186">
        <f t="shared" si="8"/>
        <v>14390.990000000005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80</v>
      </c>
      <c r="F39" s="196">
        <v>298.69</v>
      </c>
      <c r="G39" s="202">
        <f>F39-E39</f>
        <v>218.69</v>
      </c>
      <c r="H39" s="204">
        <f aca="true" t="shared" si="11" ref="H39:H62">F39/E39*100</f>
        <v>373.3625</v>
      </c>
      <c r="I39" s="205">
        <f>F39-D39</f>
        <v>198.69</v>
      </c>
      <c r="J39" s="205">
        <f>F39/D39*100</f>
        <v>298.69</v>
      </c>
      <c r="K39" s="205">
        <v>-60.36</v>
      </c>
      <c r="L39" s="205">
        <f t="shared" si="1"/>
        <v>359.05</v>
      </c>
      <c r="M39" s="266">
        <f t="shared" si="10"/>
        <v>-4.948475811795891</v>
      </c>
      <c r="N39" s="204">
        <f>E39-липень!E39</f>
        <v>10</v>
      </c>
      <c r="O39" s="208">
        <f>F39-липень!F39</f>
        <v>57.30000000000001</v>
      </c>
      <c r="P39" s="207">
        <f>O39-N39</f>
        <v>47.30000000000001</v>
      </c>
      <c r="Q39" s="205">
        <f aca="true" t="shared" si="12" ref="Q39:Q62">O39/N39*100</f>
        <v>573.0000000000001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8037</v>
      </c>
      <c r="F40" s="196">
        <v>20560.18</v>
      </c>
      <c r="G40" s="202">
        <f aca="true" t="shared" si="13" ref="G40:G63">F40-E40</f>
        <v>12523.18</v>
      </c>
      <c r="H40" s="204">
        <f t="shared" si="11"/>
        <v>255.81908672390193</v>
      </c>
      <c r="I40" s="205">
        <f aca="true" t="shared" si="14" ref="I40:I63">F40-D40</f>
        <v>10560.18</v>
      </c>
      <c r="J40" s="205">
        <f>F40/D40*100</f>
        <v>205.6018</v>
      </c>
      <c r="K40" s="205">
        <v>201.37</v>
      </c>
      <c r="L40" s="205">
        <f t="shared" si="1"/>
        <v>20358.81</v>
      </c>
      <c r="M40" s="266"/>
      <c r="N40" s="204">
        <f>E40-липень!E40</f>
        <v>500</v>
      </c>
      <c r="O40" s="208">
        <f>F40-липень!F40</f>
        <v>3289.16</v>
      </c>
      <c r="P40" s="207">
        <f aca="true" t="shared" si="15" ref="P40:P63">O40-N40</f>
        <v>2789.16</v>
      </c>
      <c r="Q40" s="205">
        <f t="shared" si="12"/>
        <v>657.832</v>
      </c>
      <c r="R40" s="42"/>
      <c r="S40" s="100"/>
      <c r="T40" s="186">
        <f t="shared" si="8"/>
        <v>1963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v>151.44</v>
      </c>
      <c r="F41" s="196">
        <v>28.07</v>
      </c>
      <c r="G41" s="202">
        <f t="shared" si="13"/>
        <v>-123.37</v>
      </c>
      <c r="H41" s="204">
        <f t="shared" si="11"/>
        <v>18.53539355520338</v>
      </c>
      <c r="I41" s="205">
        <f t="shared" si="14"/>
        <v>-371.93</v>
      </c>
      <c r="J41" s="205">
        <f aca="true" t="shared" si="16" ref="J41:J62">F41/D41*100</f>
        <v>7.0175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40</v>
      </c>
      <c r="O41" s="208">
        <f>F41-липень!F41</f>
        <v>0</v>
      </c>
      <c r="P41" s="207">
        <f t="shared" si="15"/>
        <v>-40</v>
      </c>
      <c r="Q41" s="205">
        <f t="shared" si="12"/>
        <v>0</v>
      </c>
      <c r="R41" s="42"/>
      <c r="S41" s="100"/>
      <c r="T41" s="186">
        <f t="shared" si="8"/>
        <v>248.56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189.03</v>
      </c>
      <c r="G43" s="202">
        <f t="shared" si="13"/>
        <v>109.03</v>
      </c>
      <c r="H43" s="204">
        <f t="shared" si="11"/>
        <v>236.2875</v>
      </c>
      <c r="I43" s="205">
        <f t="shared" si="14"/>
        <v>39.03</v>
      </c>
      <c r="J43" s="205">
        <f t="shared" si="16"/>
        <v>126.02</v>
      </c>
      <c r="K43" s="205">
        <v>104.06</v>
      </c>
      <c r="L43" s="205">
        <f t="shared" si="1"/>
        <v>84.97</v>
      </c>
      <c r="M43" s="266">
        <f t="shared" si="17"/>
        <v>1.816548145300788</v>
      </c>
      <c r="N43" s="204">
        <f>E43-липень!E43</f>
        <v>10</v>
      </c>
      <c r="O43" s="208">
        <f>F43-липень!F43</f>
        <v>1.0699999999999932</v>
      </c>
      <c r="P43" s="207">
        <f t="shared" si="15"/>
        <v>-8.930000000000007</v>
      </c>
      <c r="Q43" s="205">
        <f t="shared" si="12"/>
        <v>10.699999999999932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3"/>
        <v>27.48</v>
      </c>
      <c r="H44" s="204"/>
      <c r="I44" s="205">
        <f t="shared" si="14"/>
        <v>27.48</v>
      </c>
      <c r="J44" s="205"/>
      <c r="K44" s="205">
        <v>3.5</v>
      </c>
      <c r="L44" s="205">
        <f t="shared" si="1"/>
        <v>23.98</v>
      </c>
      <c r="M44" s="266">
        <f t="shared" si="17"/>
        <v>7.851428571428571</v>
      </c>
      <c r="N44" s="204">
        <f>E44-липень!E44</f>
        <v>0</v>
      </c>
      <c r="O44" s="208">
        <f>F44-липень!F44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56</v>
      </c>
      <c r="F45" s="196">
        <v>253.98</v>
      </c>
      <c r="G45" s="202">
        <f t="shared" si="13"/>
        <v>197.98</v>
      </c>
      <c r="H45" s="204">
        <f t="shared" si="11"/>
        <v>453.5357142857142</v>
      </c>
      <c r="I45" s="205">
        <f t="shared" si="14"/>
        <v>163.98</v>
      </c>
      <c r="J45" s="205">
        <f t="shared" si="16"/>
        <v>282.2</v>
      </c>
      <c r="K45" s="205">
        <v>0</v>
      </c>
      <c r="L45" s="205">
        <f t="shared" si="1"/>
        <v>253.98</v>
      </c>
      <c r="M45" s="266"/>
      <c r="N45" s="204">
        <f>E45-липень!E45</f>
        <v>8</v>
      </c>
      <c r="O45" s="208">
        <f>F45-липень!F45</f>
        <v>5.609999999999985</v>
      </c>
      <c r="P45" s="207">
        <f t="shared" si="15"/>
        <v>-2.390000000000015</v>
      </c>
      <c r="Q45" s="205">
        <f t="shared" si="12"/>
        <v>70.12499999999982</v>
      </c>
      <c r="R45" s="42"/>
      <c r="S45" s="100"/>
      <c r="T45" s="186">
        <f t="shared" si="8"/>
        <v>34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</v>
      </c>
      <c r="F47" s="196">
        <v>6168.97</v>
      </c>
      <c r="G47" s="202">
        <f t="shared" si="13"/>
        <v>29.970000000000255</v>
      </c>
      <c r="H47" s="204">
        <f t="shared" si="11"/>
        <v>100.48819025899985</v>
      </c>
      <c r="I47" s="205">
        <f t="shared" si="14"/>
        <v>-3731.0299999999997</v>
      </c>
      <c r="J47" s="205">
        <f t="shared" si="16"/>
        <v>62.31282828282828</v>
      </c>
      <c r="K47" s="205">
        <v>6772.05</v>
      </c>
      <c r="L47" s="205">
        <f t="shared" si="1"/>
        <v>-603.0799999999999</v>
      </c>
      <c r="M47" s="266">
        <f t="shared" si="17"/>
        <v>0.9109457254450277</v>
      </c>
      <c r="N47" s="204">
        <f>E47-липень!E47</f>
        <v>799.9799999999996</v>
      </c>
      <c r="O47" s="208">
        <f>F47-липень!F47</f>
        <v>78.34000000000015</v>
      </c>
      <c r="P47" s="207">
        <f t="shared" si="15"/>
        <v>-721.6399999999994</v>
      </c>
      <c r="Q47" s="205">
        <f t="shared" si="12"/>
        <v>9.792744818620488</v>
      </c>
      <c r="R47" s="42"/>
      <c r="S47" s="100"/>
      <c r="T47" s="186">
        <f t="shared" si="8"/>
        <v>3761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v>910</v>
      </c>
      <c r="F48" s="196">
        <v>120.43</v>
      </c>
      <c r="G48" s="202">
        <f t="shared" si="13"/>
        <v>-789.5699999999999</v>
      </c>
      <c r="H48" s="204">
        <f t="shared" si="11"/>
        <v>13.234065934065937</v>
      </c>
      <c r="I48" s="205">
        <f t="shared" si="14"/>
        <v>-1379.57</v>
      </c>
      <c r="J48" s="205">
        <f t="shared" si="16"/>
        <v>8.028666666666668</v>
      </c>
      <c r="K48" s="205">
        <v>0</v>
      </c>
      <c r="L48" s="205">
        <f t="shared" si="1"/>
        <v>120.43</v>
      </c>
      <c r="M48" s="266"/>
      <c r="N48" s="204">
        <f>E48-липень!E48</f>
        <v>260</v>
      </c>
      <c r="O48" s="208">
        <f>F48-липень!F48</f>
        <v>3.0400000000000063</v>
      </c>
      <c r="P48" s="207">
        <f t="shared" si="15"/>
        <v>-256.96</v>
      </c>
      <c r="Q48" s="205">
        <f t="shared" si="12"/>
        <v>1.1692307692307717</v>
      </c>
      <c r="R48" s="42"/>
      <c r="S48" s="100"/>
      <c r="T48" s="186">
        <f t="shared" si="8"/>
        <v>590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8.54</v>
      </c>
      <c r="G49" s="202">
        <f t="shared" si="13"/>
        <v>-19.46</v>
      </c>
      <c r="H49" s="204">
        <f t="shared" si="11"/>
        <v>30.5</v>
      </c>
      <c r="I49" s="205">
        <f t="shared" si="14"/>
        <v>-41.46</v>
      </c>
      <c r="J49" s="205">
        <f t="shared" si="16"/>
        <v>17.08</v>
      </c>
      <c r="K49" s="205">
        <v>0</v>
      </c>
      <c r="L49" s="205">
        <f t="shared" si="1"/>
        <v>8.54</v>
      </c>
      <c r="M49" s="266"/>
      <c r="N49" s="204">
        <f>E49-липень!E49</f>
        <v>4</v>
      </c>
      <c r="O49" s="208">
        <f>F49-липень!F49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-3431.8100000000004</v>
      </c>
      <c r="J50" s="205">
        <f t="shared" si="16"/>
        <v>59.62576470588235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3233.7700000000004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v>4443.19</v>
      </c>
      <c r="F51" s="196">
        <v>3775.65</v>
      </c>
      <c r="G51" s="202">
        <f t="shared" si="13"/>
        <v>-667.5399999999995</v>
      </c>
      <c r="H51" s="204">
        <f t="shared" si="11"/>
        <v>84.97610950690834</v>
      </c>
      <c r="I51" s="205">
        <f t="shared" si="14"/>
        <v>-3524.35</v>
      </c>
      <c r="J51" s="205">
        <f t="shared" si="16"/>
        <v>51.72123287671233</v>
      </c>
      <c r="K51" s="205">
        <v>5221.43</v>
      </c>
      <c r="L51" s="205">
        <f t="shared" si="1"/>
        <v>-1445.7800000000002</v>
      </c>
      <c r="M51" s="266">
        <f t="shared" si="17"/>
        <v>0.7231065053060177</v>
      </c>
      <c r="N51" s="204">
        <f>E51-липень!E51</f>
        <v>571.9999999999995</v>
      </c>
      <c r="O51" s="208">
        <f>F51-липень!F51</f>
        <v>50.86000000000013</v>
      </c>
      <c r="P51" s="207">
        <f t="shared" si="15"/>
        <v>-521.1399999999994</v>
      </c>
      <c r="Q51" s="205">
        <f t="shared" si="12"/>
        <v>8.891608391608422</v>
      </c>
      <c r="R51" s="42"/>
      <c r="S51" s="100"/>
      <c r="T51" s="186">
        <f t="shared" si="8"/>
        <v>2856.8100000000004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713.99</v>
      </c>
      <c r="F52" s="171">
        <v>508.73</v>
      </c>
      <c r="G52" s="36">
        <f t="shared" si="13"/>
        <v>-205.26</v>
      </c>
      <c r="H52" s="32">
        <f t="shared" si="11"/>
        <v>71.25169820305607</v>
      </c>
      <c r="I52" s="110">
        <f t="shared" si="14"/>
        <v>-591.27</v>
      </c>
      <c r="J52" s="110">
        <f t="shared" si="16"/>
        <v>46.24818181818182</v>
      </c>
      <c r="K52" s="110">
        <v>735.13</v>
      </c>
      <c r="L52" s="110">
        <f>F52-K52</f>
        <v>-226.39999999999998</v>
      </c>
      <c r="M52" s="115">
        <f t="shared" si="17"/>
        <v>0.6920272604845402</v>
      </c>
      <c r="N52" s="111">
        <f>E52-липень!E52</f>
        <v>70</v>
      </c>
      <c r="O52" s="179">
        <f>F52-липень!F52</f>
        <v>4.590000000000032</v>
      </c>
      <c r="P52" s="112">
        <f t="shared" si="15"/>
        <v>-65.40999999999997</v>
      </c>
      <c r="Q52" s="132">
        <f t="shared" si="12"/>
        <v>6.557142857142903</v>
      </c>
      <c r="R52" s="42"/>
      <c r="S52" s="100"/>
      <c r="T52" s="186">
        <f t="shared" si="8"/>
        <v>386.01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v>7.04</v>
      </c>
      <c r="F53" s="171">
        <v>0.27</v>
      </c>
      <c r="G53" s="36">
        <f t="shared" si="13"/>
        <v>-6.77</v>
      </c>
      <c r="H53" s="32">
        <f t="shared" si="11"/>
        <v>3.835227272727273</v>
      </c>
      <c r="I53" s="110">
        <f t="shared" si="14"/>
        <v>-44.73</v>
      </c>
      <c r="J53" s="110">
        <f t="shared" si="16"/>
        <v>0.6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2</v>
      </c>
      <c r="O53" s="179">
        <f>F53-липень!F53</f>
        <v>0.010000000000000009</v>
      </c>
      <c r="P53" s="112">
        <f t="shared" si="15"/>
        <v>-1.99</v>
      </c>
      <c r="Q53" s="132">
        <f t="shared" si="12"/>
        <v>0.5000000000000004</v>
      </c>
      <c r="R53" s="42"/>
      <c r="S53" s="100"/>
      <c r="T53" s="186">
        <f t="shared" si="8"/>
        <v>37.96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3722.17</v>
      </c>
      <c r="F55" s="171">
        <v>3266.63</v>
      </c>
      <c r="G55" s="36">
        <f t="shared" si="13"/>
        <v>-455.53999999999996</v>
      </c>
      <c r="H55" s="32">
        <f t="shared" si="11"/>
        <v>87.76144023513166</v>
      </c>
      <c r="I55" s="110">
        <f t="shared" si="14"/>
        <v>-2887.37</v>
      </c>
      <c r="J55" s="110">
        <f t="shared" si="16"/>
        <v>53.08141046473839</v>
      </c>
      <c r="K55" s="110">
        <v>4440.11</v>
      </c>
      <c r="L55" s="110">
        <f>F55-K55</f>
        <v>-1173.4799999999996</v>
      </c>
      <c r="M55" s="115">
        <f t="shared" si="17"/>
        <v>0.735709250446498</v>
      </c>
      <c r="N55" s="111">
        <f>E55-липень!E55</f>
        <v>500</v>
      </c>
      <c r="O55" s="179">
        <f>F55-липень!F55</f>
        <v>46.25</v>
      </c>
      <c r="P55" s="112">
        <f t="shared" si="15"/>
        <v>-453.75</v>
      </c>
      <c r="Q55" s="132">
        <f t="shared" si="12"/>
        <v>9.25</v>
      </c>
      <c r="R55" s="42"/>
      <c r="S55" s="100"/>
      <c r="T55" s="186">
        <f t="shared" si="8"/>
        <v>2431.83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3217.98</v>
      </c>
      <c r="F57" s="196">
        <v>4280.52</v>
      </c>
      <c r="G57" s="202">
        <f t="shared" si="13"/>
        <v>1062.5400000000004</v>
      </c>
      <c r="H57" s="204">
        <f t="shared" si="11"/>
        <v>133.018850334682</v>
      </c>
      <c r="I57" s="205">
        <f t="shared" si="14"/>
        <v>-519.4799999999996</v>
      </c>
      <c r="J57" s="205">
        <f t="shared" si="16"/>
        <v>89.17750000000001</v>
      </c>
      <c r="K57" s="205">
        <v>3192.65</v>
      </c>
      <c r="L57" s="205">
        <f aca="true" t="shared" si="18" ref="L57:L63">F57-K57</f>
        <v>1087.8700000000003</v>
      </c>
      <c r="M57" s="266">
        <f t="shared" si="17"/>
        <v>1.3407420168198834</v>
      </c>
      <c r="N57" s="204">
        <f>E57-липень!E57</f>
        <v>580</v>
      </c>
      <c r="O57" s="208">
        <f>F57-липень!F57</f>
        <v>18.6200000000008</v>
      </c>
      <c r="P57" s="207">
        <f t="shared" si="15"/>
        <v>-561.3799999999992</v>
      </c>
      <c r="Q57" s="205">
        <f t="shared" si="12"/>
        <v>3.210344827586345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744.18</v>
      </c>
      <c r="G59" s="202"/>
      <c r="H59" s="204"/>
      <c r="I59" s="205"/>
      <c r="J59" s="205"/>
      <c r="K59" s="206">
        <v>890.52</v>
      </c>
      <c r="L59" s="205">
        <f t="shared" si="18"/>
        <v>-146.34000000000003</v>
      </c>
      <c r="M59" s="266">
        <f t="shared" si="17"/>
        <v>0.8356690472982078</v>
      </c>
      <c r="N59" s="236"/>
      <c r="O59" s="220">
        <f>F59-липень!F59</f>
        <v>10.349999999999909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3"/>
        <v>58.18000000000001</v>
      </c>
      <c r="H61" s="204">
        <f t="shared" si="11"/>
        <v>390.90000000000003</v>
      </c>
      <c r="I61" s="205">
        <f t="shared" si="14"/>
        <v>58.18000000000001</v>
      </c>
      <c r="J61" s="205">
        <f t="shared" si="16"/>
        <v>390.90000000000003</v>
      </c>
      <c r="K61" s="205">
        <v>0.6</v>
      </c>
      <c r="L61" s="205">
        <f t="shared" si="18"/>
        <v>77.58000000000001</v>
      </c>
      <c r="M61" s="266">
        <f t="shared" si="17"/>
        <v>130.3</v>
      </c>
      <c r="N61" s="204">
        <f>E61-липень!E61</f>
        <v>0</v>
      </c>
      <c r="O61" s="208">
        <f>F61-липень!F61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3"/>
        <v>1.02</v>
      </c>
      <c r="H63" s="204"/>
      <c r="I63" s="205">
        <f t="shared" si="14"/>
        <v>0.42000000000000004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E63-липень!E63</f>
        <v>0</v>
      </c>
      <c r="O63" s="208">
        <f>F63-липень!F63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604191.5900000001</v>
      </c>
      <c r="F64" s="191">
        <f>F8+F38+F62+F63</f>
        <v>588336.77</v>
      </c>
      <c r="G64" s="191">
        <f>F64-E64</f>
        <v>-15854.820000000065</v>
      </c>
      <c r="H64" s="192">
        <f>F64/E64*100</f>
        <v>97.37586218305356</v>
      </c>
      <c r="I64" s="193">
        <f>F64-D64</f>
        <v>-295563.82999999996</v>
      </c>
      <c r="J64" s="193">
        <f>F64/D64*100</f>
        <v>66.5614176526184</v>
      </c>
      <c r="K64" s="193">
        <v>451134.19</v>
      </c>
      <c r="L64" s="193">
        <f>F64-K64</f>
        <v>137202.58000000002</v>
      </c>
      <c r="M64" s="267">
        <f>F64/K64</f>
        <v>1.3041280910232054</v>
      </c>
      <c r="N64" s="191">
        <f>N8+N38+N62+N63</f>
        <v>80230.78</v>
      </c>
      <c r="O64" s="191">
        <f>O8+O38+O62+O63</f>
        <v>7728.989999999977</v>
      </c>
      <c r="P64" s="195">
        <f>O64-N64</f>
        <v>-72501.79000000002</v>
      </c>
      <c r="Q64" s="193">
        <f>O64/N64*100</f>
        <v>9.633447412576542</v>
      </c>
      <c r="R64" s="28">
        <f>O64-34768</f>
        <v>-27039.010000000024</v>
      </c>
      <c r="S64" s="128">
        <f>O64/34768</f>
        <v>0.22230182926829203</v>
      </c>
      <c r="T64" s="186">
        <f t="shared" si="8"/>
        <v>279709.0099999999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1535.07</v>
      </c>
      <c r="G73" s="202">
        <f aca="true" t="shared" si="19" ref="G73:G83">F73-E73</f>
        <v>-664.9300000000001</v>
      </c>
      <c r="H73" s="204"/>
      <c r="I73" s="207">
        <f aca="true" t="shared" si="20" ref="I73:I83">F73-D73</f>
        <v>-2664.9300000000003</v>
      </c>
      <c r="J73" s="207">
        <f>F73/D73*100</f>
        <v>36.54928571428571</v>
      </c>
      <c r="K73" s="207">
        <v>593.02</v>
      </c>
      <c r="L73" s="207">
        <f aca="true" t="shared" si="21" ref="L73:L83">F73-K73</f>
        <v>942.05</v>
      </c>
      <c r="M73" s="254">
        <f>F73/K73</f>
        <v>2.5885636234865603</v>
      </c>
      <c r="N73" s="204">
        <f>E73-липень!E73</f>
        <v>400</v>
      </c>
      <c r="O73" s="208">
        <f>F73-липень!F73</f>
        <v>0.009999999999990905</v>
      </c>
      <c r="P73" s="207">
        <f aca="true" t="shared" si="22" ref="P73:P86">O73-N73</f>
        <v>-399.99</v>
      </c>
      <c r="Q73" s="207">
        <f>O73/N73*100</f>
        <v>0.0024999999999977263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9561.39</v>
      </c>
      <c r="G75" s="202">
        <f t="shared" si="19"/>
        <v>7164.539999999999</v>
      </c>
      <c r="H75" s="204">
        <f>F75/E75*100</f>
        <v>398.9148257087427</v>
      </c>
      <c r="I75" s="207">
        <f t="shared" si="20"/>
        <v>3561.3899999999994</v>
      </c>
      <c r="J75" s="207">
        <f>F75/D75*100</f>
        <v>159.35649999999998</v>
      </c>
      <c r="K75" s="207">
        <v>1838.64</v>
      </c>
      <c r="L75" s="207">
        <f t="shared" si="21"/>
        <v>7722.749999999999</v>
      </c>
      <c r="M75" s="254">
        <f>F75/K75</f>
        <v>5.2002512726798065</v>
      </c>
      <c r="N75" s="204">
        <f>E75-липень!E75</f>
        <v>302</v>
      </c>
      <c r="O75" s="208">
        <f>F75-липень!F75</f>
        <v>51.69999999999891</v>
      </c>
      <c r="P75" s="207">
        <f t="shared" si="22"/>
        <v>-250.3000000000011</v>
      </c>
      <c r="Q75" s="207">
        <f>O75/N75*100</f>
        <v>17.119205298012883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17853.96</v>
      </c>
      <c r="G77" s="226">
        <f t="shared" si="19"/>
        <v>9371.9</v>
      </c>
      <c r="H77" s="227">
        <f>F77/E77*100</f>
        <v>210.49084774217584</v>
      </c>
      <c r="I77" s="228">
        <f t="shared" si="20"/>
        <v>182.95999999999913</v>
      </c>
      <c r="J77" s="228">
        <f>F77/D77*100</f>
        <v>101.0353686831532</v>
      </c>
      <c r="K77" s="228">
        <v>5991.37</v>
      </c>
      <c r="L77" s="228">
        <f t="shared" si="21"/>
        <v>11862.59</v>
      </c>
      <c r="M77" s="260">
        <f>F77/K77</f>
        <v>2.9799461558875513</v>
      </c>
      <c r="N77" s="226">
        <f>N73+N74+N75+N76</f>
        <v>1252.9</v>
      </c>
      <c r="O77" s="230">
        <f>O73+O74+O75+O76</f>
        <v>51.7099999999989</v>
      </c>
      <c r="P77" s="228">
        <f t="shared" si="22"/>
        <v>-1201.1900000000012</v>
      </c>
      <c r="Q77" s="228">
        <f>O77/N77*100</f>
        <v>4.127224838374882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19"/>
        <v>5.21</v>
      </c>
      <c r="H78" s="204"/>
      <c r="I78" s="207">
        <f t="shared" si="20"/>
        <v>4.21</v>
      </c>
      <c r="J78" s="207"/>
      <c r="K78" s="207">
        <v>0.18</v>
      </c>
      <c r="L78" s="207">
        <f t="shared" si="21"/>
        <v>5.03</v>
      </c>
      <c r="M78" s="254">
        <f>F78/K78</f>
        <v>28.944444444444446</v>
      </c>
      <c r="N78" s="204">
        <f>E78-липень!E78</f>
        <v>0</v>
      </c>
      <c r="O78" s="208">
        <f>F78-липень!F78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4904.08</v>
      </c>
      <c r="G80" s="202">
        <f t="shared" si="19"/>
        <v>-2719.5200000000004</v>
      </c>
      <c r="H80" s="204">
        <f>F80/E80*100</f>
        <v>64.32761425048533</v>
      </c>
      <c r="I80" s="207">
        <f t="shared" si="20"/>
        <v>-4595.92</v>
      </c>
      <c r="J80" s="207">
        <f>F80/D80*100</f>
        <v>51.6218947368421</v>
      </c>
      <c r="K80" s="207">
        <v>0</v>
      </c>
      <c r="L80" s="207">
        <f t="shared" si="21"/>
        <v>4904.08</v>
      </c>
      <c r="M80" s="254"/>
      <c r="N80" s="204">
        <f>E80-липень!E80</f>
        <v>2496.3</v>
      </c>
      <c r="O80" s="208">
        <f>F80-липень!F80</f>
        <v>1.7399999999997817</v>
      </c>
      <c r="P80" s="207">
        <f>O80-N80</f>
        <v>-2494.5600000000004</v>
      </c>
      <c r="Q80" s="231">
        <f>O80/N80*100</f>
        <v>0.06970316067779439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4910.21</v>
      </c>
      <c r="G82" s="224">
        <f>G78+G81+G79+G80</f>
        <v>-2713.3900000000003</v>
      </c>
      <c r="H82" s="227">
        <f>F82/E82*100</f>
        <v>64.40802245658219</v>
      </c>
      <c r="I82" s="228">
        <f t="shared" si="20"/>
        <v>-4590.79</v>
      </c>
      <c r="J82" s="228">
        <f>F82/D82*100</f>
        <v>51.680980949373755</v>
      </c>
      <c r="K82" s="228">
        <v>0.83</v>
      </c>
      <c r="L82" s="228">
        <f t="shared" si="21"/>
        <v>4909.38</v>
      </c>
      <c r="M82" s="268">
        <f>F82/K82</f>
        <v>5915.915662650603</v>
      </c>
      <c r="N82" s="226">
        <f>N78+N81+N79+N80</f>
        <v>2496.3</v>
      </c>
      <c r="O82" s="230">
        <f>O78+O81+O79+O80</f>
        <v>1.7399999999997817</v>
      </c>
      <c r="P82" s="226">
        <f>P78+P81+P79+P80</f>
        <v>-2494.5600000000004</v>
      </c>
      <c r="Q82" s="228">
        <f>O82/N82*100</f>
        <v>0.06970316067779439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22780.64</v>
      </c>
      <c r="G85" s="233">
        <f>F85-E85</f>
        <v>6654.18</v>
      </c>
      <c r="H85" s="234">
        <f>F85/E85*100</f>
        <v>141.26249654294867</v>
      </c>
      <c r="I85" s="235">
        <f>F85-D85</f>
        <v>-4434.360000000001</v>
      </c>
      <c r="J85" s="235">
        <f>F85/D85*100</f>
        <v>83.70619143854492</v>
      </c>
      <c r="K85" s="235">
        <v>6163.42</v>
      </c>
      <c r="L85" s="235">
        <f>F85-K85</f>
        <v>16617.22</v>
      </c>
      <c r="M85" s="269">
        <f>F85/K85</f>
        <v>3.6961037865340995</v>
      </c>
      <c r="N85" s="232">
        <f>N71+N83+N77+N82</f>
        <v>3749.7000000000003</v>
      </c>
      <c r="O85" s="232">
        <f>O71+O83+O77+O82+O84</f>
        <v>53.44999999999868</v>
      </c>
      <c r="P85" s="235">
        <f t="shared" si="22"/>
        <v>-3696.250000000002</v>
      </c>
      <c r="Q85" s="235">
        <f>O85/N85*100</f>
        <v>1.425447369122828</v>
      </c>
      <c r="R85" s="28">
        <f>O85-8104.96</f>
        <v>-8051.510000000001</v>
      </c>
      <c r="S85" s="101">
        <f>O85/8104.96</f>
        <v>0.006594727179406028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620318.05</v>
      </c>
      <c r="F86" s="232">
        <f>F64+F85</f>
        <v>611117.41</v>
      </c>
      <c r="G86" s="233">
        <f>F86-E86</f>
        <v>-9200.640000000014</v>
      </c>
      <c r="H86" s="234">
        <f>F86/E86*100</f>
        <v>98.51678667096661</v>
      </c>
      <c r="I86" s="235">
        <f>F86-D86</f>
        <v>-299998.18999999994</v>
      </c>
      <c r="J86" s="235">
        <f>F86/D86*100</f>
        <v>67.07353161333207</v>
      </c>
      <c r="K86" s="235">
        <f>K64+K85</f>
        <v>457297.61</v>
      </c>
      <c r="L86" s="235">
        <f>F86-K86</f>
        <v>153819.80000000005</v>
      </c>
      <c r="M86" s="269">
        <f>F86/K86</f>
        <v>1.336366944931114</v>
      </c>
      <c r="N86" s="233">
        <f>N64+N85</f>
        <v>83980.48</v>
      </c>
      <c r="O86" s="233">
        <f>O64+O85</f>
        <v>7782.439999999976</v>
      </c>
      <c r="P86" s="235">
        <f t="shared" si="22"/>
        <v>-76198.04000000002</v>
      </c>
      <c r="Q86" s="235">
        <f>O86/N86*100</f>
        <v>9.266962989494672</v>
      </c>
      <c r="R86" s="28">
        <f>O86-42872.96</f>
        <v>-35090.520000000026</v>
      </c>
      <c r="S86" s="101">
        <f>O86/42872.96</f>
        <v>0.18152327247757039</v>
      </c>
      <c r="T86" s="186">
        <f t="shared" si="23"/>
        <v>290797.54999999993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20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3625.089500000001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42584</v>
      </c>
      <c r="D90" s="31">
        <v>3054.4</v>
      </c>
      <c r="G90" s="4" t="s">
        <v>59</v>
      </c>
      <c r="O90" s="419"/>
      <c r="P90" s="419"/>
      <c r="T90" s="186">
        <f t="shared" si="23"/>
        <v>3054.4</v>
      </c>
    </row>
    <row r="91" spans="3:16" ht="15">
      <c r="C91" s="87">
        <v>42583</v>
      </c>
      <c r="D91" s="31">
        <v>4674.6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42580</v>
      </c>
      <c r="D92" s="31">
        <v>10337.3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0.00677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994</v>
      </c>
      <c r="F97" s="247">
        <f>F45+F48+F49</f>
        <v>382.95</v>
      </c>
      <c r="G97" s="73">
        <f>G45+G48+G49</f>
        <v>-611.05</v>
      </c>
      <c r="H97" s="74"/>
      <c r="I97" s="74"/>
      <c r="N97" s="31">
        <f>N45+N48+N49</f>
        <v>272</v>
      </c>
      <c r="O97" s="246">
        <f>O45+O48+O49</f>
        <v>8.649999999999991</v>
      </c>
      <c r="P97" s="31">
        <f>P45+P48+P49</f>
        <v>-263.35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40" sqref="N4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2016-08-03T07:28:52Z</cp:lastPrinted>
  <dcterms:created xsi:type="dcterms:W3CDTF">2003-07-28T11:27:56Z</dcterms:created>
  <dcterms:modified xsi:type="dcterms:W3CDTF">2016-08-03T08:06:54Z</dcterms:modified>
  <cp:category/>
  <cp:version/>
  <cp:contentType/>
  <cp:contentStatus/>
</cp:coreProperties>
</file>